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db17b48f0698f0e/Desktop/Litvin/"/>
    </mc:Choice>
  </mc:AlternateContent>
  <xr:revisionPtr revIDLastSave="0" documentId="8_{85DC53BA-02A7-48F9-B811-7BB4D4246AC7}" xr6:coauthVersionLast="47" xr6:coauthVersionMax="47" xr10:uidLastSave="{00000000-0000-0000-0000-000000000000}"/>
  <bookViews>
    <workbookView xWindow="1905" yWindow="345" windowWidth="26940" windowHeight="15000" xr2:uid="{2E49444D-DF26-43AC-84DA-CFCFEF00B8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8" i="1" l="1"/>
  <c r="AC18" i="1"/>
  <c r="U18" i="1"/>
  <c r="P18" i="1"/>
  <c r="AA7" i="1"/>
  <c r="L18" i="1"/>
  <c r="H18" i="1"/>
  <c r="D18" i="1"/>
  <c r="AG18" i="1" s="1"/>
  <c r="N8" i="1" l="1"/>
  <c r="N10" i="1"/>
  <c r="N11" i="1"/>
  <c r="N15" i="1"/>
  <c r="AG16" i="1"/>
  <c r="U19" i="1" l="1"/>
  <c r="P19" i="1"/>
  <c r="L19" i="1"/>
  <c r="H19" i="1"/>
  <c r="D19" i="1"/>
  <c r="L15" i="1"/>
  <c r="H14" i="1"/>
  <c r="AC17" i="1"/>
  <c r="Y17" i="1"/>
  <c r="U17" i="1"/>
  <c r="P17" i="1"/>
  <c r="L17" i="1"/>
  <c r="H17" i="1"/>
  <c r="D17" i="1"/>
  <c r="AF11" i="1"/>
  <c r="AF10" i="1"/>
  <c r="AF9" i="1"/>
  <c r="AB7" i="1"/>
  <c r="AA11" i="1"/>
  <c r="AC11" i="1" s="1"/>
  <c r="AA10" i="1"/>
  <c r="AC10" i="1" s="1"/>
  <c r="AB5" i="1"/>
  <c r="AA5" i="1"/>
  <c r="Y11" i="1"/>
  <c r="Y10" i="1"/>
  <c r="X8" i="1"/>
  <c r="X7" i="1"/>
  <c r="AF7" i="1" s="1"/>
  <c r="X5" i="1"/>
  <c r="T5" i="1"/>
  <c r="O8" i="1"/>
  <c r="O12" i="1" s="1"/>
  <c r="K12" i="1"/>
  <c r="D5" i="1"/>
  <c r="G12" i="1"/>
  <c r="D9" i="1"/>
  <c r="C8" i="1"/>
  <c r="C12" i="1" s="1"/>
  <c r="AF5" i="1" l="1"/>
  <c r="T12" i="1"/>
  <c r="AG19" i="1"/>
  <c r="AB12" i="1"/>
  <c r="AG17" i="1"/>
  <c r="AC7" i="1"/>
  <c r="AC5" i="1"/>
  <c r="X12" i="1"/>
  <c r="AF8" i="1"/>
  <c r="AF12" i="1" s="1"/>
  <c r="S11" i="1" l="1"/>
  <c r="U11" i="1" s="1"/>
  <c r="S10" i="1"/>
  <c r="U10" i="1" s="1"/>
  <c r="P11" i="1"/>
  <c r="P10" i="1"/>
  <c r="J11" i="1"/>
  <c r="L11" i="1" s="1"/>
  <c r="J10" i="1"/>
  <c r="L10" i="1" s="1"/>
  <c r="F11" i="1"/>
  <c r="H11" i="1" s="1"/>
  <c r="F10" i="1"/>
  <c r="H10" i="1" s="1"/>
  <c r="F30" i="1"/>
  <c r="B11" i="1"/>
  <c r="B10" i="1"/>
  <c r="W8" i="1"/>
  <c r="Y8" i="1" s="1"/>
  <c r="W7" i="1"/>
  <c r="W30" i="1"/>
  <c r="W29" i="1"/>
  <c r="S8" i="1"/>
  <c r="U8" i="1" s="1"/>
  <c r="F8" i="1"/>
  <c r="H8" i="1" s="1"/>
  <c r="I8" i="1"/>
  <c r="M8" i="1" s="1"/>
  <c r="Q8" i="1" s="1"/>
  <c r="V8" i="1" s="1"/>
  <c r="Z8" i="1" s="1"/>
  <c r="Z17" i="1" s="1"/>
  <c r="J14" i="1"/>
  <c r="N14" i="1" s="1"/>
  <c r="J8" i="1"/>
  <c r="L8" i="1" s="1"/>
  <c r="F9" i="1"/>
  <c r="F5" i="1"/>
  <c r="B8" i="1"/>
  <c r="B7" i="1"/>
  <c r="P14" i="1" l="1"/>
  <c r="L14" i="1"/>
  <c r="S15" i="1"/>
  <c r="P15" i="1"/>
  <c r="D10" i="1"/>
  <c r="AG10" i="1" s="1"/>
  <c r="AE10" i="1"/>
  <c r="D8" i="1"/>
  <c r="AG8" i="1" s="1"/>
  <c r="AE8" i="1"/>
  <c r="D11" i="1"/>
  <c r="AG11" i="1" s="1"/>
  <c r="AE11" i="1"/>
  <c r="Y7" i="1"/>
  <c r="J5" i="1"/>
  <c r="N5" i="1" s="1"/>
  <c r="H5" i="1"/>
  <c r="J9" i="1"/>
  <c r="N9" i="1" s="1"/>
  <c r="H9" i="1"/>
  <c r="F7" i="1"/>
  <c r="H7" i="1" s="1"/>
  <c r="D7" i="1"/>
  <c r="B12" i="1"/>
  <c r="S14" i="1"/>
  <c r="W14" i="1" l="1"/>
  <c r="U14" i="1"/>
  <c r="W15" i="1"/>
  <c r="U15" i="1"/>
  <c r="J7" i="1"/>
  <c r="N7" i="1" s="1"/>
  <c r="N12" i="1" s="1"/>
  <c r="N20" i="1" s="1"/>
  <c r="J12" i="1"/>
  <c r="J20" i="1" s="1"/>
  <c r="L7" i="1"/>
  <c r="F12" i="1"/>
  <c r="F20" i="1" s="1"/>
  <c r="L9" i="1"/>
  <c r="H12" i="1"/>
  <c r="H20" i="1" s="1"/>
  <c r="L5" i="1"/>
  <c r="B20" i="1"/>
  <c r="D12" i="1"/>
  <c r="D20" i="1" s="1"/>
  <c r="P7" i="1"/>
  <c r="H24" i="1" l="1"/>
  <c r="L24" i="1"/>
  <c r="AA15" i="1"/>
  <c r="AC15" i="1" s="1"/>
  <c r="Y15" i="1"/>
  <c r="AA14" i="1"/>
  <c r="Y14" i="1"/>
  <c r="L12" i="1"/>
  <c r="L20" i="1" s="1"/>
  <c r="P24" i="1" s="1"/>
  <c r="S5" i="1"/>
  <c r="P5" i="1"/>
  <c r="S9" i="1"/>
  <c r="P9" i="1"/>
  <c r="S7" i="1"/>
  <c r="U7" i="1" s="1"/>
  <c r="AG7" i="1" s="1"/>
  <c r="AE15" i="1" l="1"/>
  <c r="AG15" i="1"/>
  <c r="AC14" i="1"/>
  <c r="AG14" i="1" s="1"/>
  <c r="AE14" i="1"/>
  <c r="AE7" i="1"/>
  <c r="W9" i="1"/>
  <c r="AA9" i="1" s="1"/>
  <c r="AC9" i="1" s="1"/>
  <c r="AC12" i="1" s="1"/>
  <c r="U9" i="1"/>
  <c r="W5" i="1"/>
  <c r="AE5" i="1" s="1"/>
  <c r="U5" i="1"/>
  <c r="P12" i="1"/>
  <c r="P20" i="1" s="1"/>
  <c r="S12" i="1"/>
  <c r="S20" i="1" s="1"/>
  <c r="U24" i="1" l="1"/>
  <c r="AC20" i="1"/>
  <c r="U12" i="1"/>
  <c r="U20" i="1" s="1"/>
  <c r="AE9" i="1"/>
  <c r="W12" i="1"/>
  <c r="W20" i="1" s="1"/>
  <c r="Y5" i="1"/>
  <c r="AG5" i="1" s="1"/>
  <c r="AA12" i="1"/>
  <c r="AA20" i="1" s="1"/>
  <c r="Y9" i="1"/>
  <c r="AG9" i="1" s="1"/>
  <c r="Y24" i="1" l="1"/>
  <c r="AG12" i="1"/>
  <c r="AG20" i="1" s="1"/>
  <c r="Y12" i="1"/>
  <c r="Y20" i="1" s="1"/>
  <c r="AC24" i="1" s="1"/>
  <c r="AE12" i="1"/>
  <c r="AG24" i="1" l="1"/>
  <c r="AG29" i="1" s="1"/>
  <c r="AG31" i="1" s="1"/>
  <c r="AE20" i="1"/>
</calcChain>
</file>

<file path=xl/sharedStrings.xml><?xml version="1.0" encoding="utf-8"?>
<sst xmlns="http://schemas.openxmlformats.org/spreadsheetml/2006/main" count="100" uniqueCount="58">
  <si>
    <t>Met Master Tenant</t>
  </si>
  <si>
    <t>Base Rent</t>
  </si>
  <si>
    <t>Ticket Sales</t>
  </si>
  <si>
    <t xml:space="preserve">   200,000 @ $2.00</t>
  </si>
  <si>
    <t>Sponsorship</t>
  </si>
  <si>
    <t xml:space="preserve">   300,000 @ $3.00</t>
  </si>
  <si>
    <t xml:space="preserve"> </t>
  </si>
  <si>
    <t>Oscars</t>
  </si>
  <si>
    <t>Rooftop</t>
  </si>
  <si>
    <t>Revenue</t>
  </si>
  <si>
    <t>Rental Share</t>
  </si>
  <si>
    <t>Landlord Usage</t>
  </si>
  <si>
    <t>65 events</t>
  </si>
  <si>
    <t>Landlord Use</t>
  </si>
  <si>
    <t>40 events</t>
  </si>
  <si>
    <t>$130,000 each</t>
  </si>
  <si>
    <t>$40,000 each</t>
  </si>
  <si>
    <t>Shows</t>
  </si>
  <si>
    <t>Rentals</t>
  </si>
  <si>
    <t>LL use</t>
  </si>
  <si>
    <t>Lost Revenues</t>
  </si>
  <si>
    <t>2019 Actual</t>
  </si>
  <si>
    <t>2019 Projection</t>
  </si>
  <si>
    <t>2020 Projection</t>
  </si>
  <si>
    <t>2020 Actual</t>
  </si>
  <si>
    <t>Gain/(Loss)</t>
  </si>
  <si>
    <t>2021 Projection</t>
  </si>
  <si>
    <t>2021 Actual</t>
  </si>
  <si>
    <t>2022 Projection</t>
  </si>
  <si>
    <t>2022 Actual</t>
  </si>
  <si>
    <t>2023 Projection</t>
  </si>
  <si>
    <t>2023 Actual</t>
  </si>
  <si>
    <t>2024 Projection</t>
  </si>
  <si>
    <t>2024 Actual</t>
  </si>
  <si>
    <t>2025 Projection</t>
  </si>
  <si>
    <t>2025 Actual</t>
  </si>
  <si>
    <t xml:space="preserve">  Thru 03.31.2025</t>
  </si>
  <si>
    <t>Total Proj</t>
  </si>
  <si>
    <t>Total Actual</t>
  </si>
  <si>
    <t>Gain/Loss</t>
  </si>
  <si>
    <t>Facilities Maint Fee</t>
  </si>
  <si>
    <t>Rent Acceleration</t>
  </si>
  <si>
    <t>Yrs 6-10</t>
  </si>
  <si>
    <t>Yrs 10-15</t>
  </si>
  <si>
    <t>Yrs 15-20</t>
  </si>
  <si>
    <t>Yrs 20-25</t>
  </si>
  <si>
    <t>Yrs 25-29</t>
  </si>
  <si>
    <t>CPACE</t>
  </si>
  <si>
    <t>Punitive Damages</t>
  </si>
  <si>
    <t>Consequential Damages</t>
  </si>
  <si>
    <t>Interest</t>
  </si>
  <si>
    <t>Mural Lofts</t>
  </si>
  <si>
    <t>Mural West</t>
  </si>
  <si>
    <t>Total Damages</t>
  </si>
  <si>
    <t>Projections CPI</t>
  </si>
  <si>
    <t>ReSale Tickets</t>
  </si>
  <si>
    <t>Ticket Resale @ 30% of sales</t>
  </si>
  <si>
    <t>Interest @ 6.0%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</si>
</sst>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1" applyNumberFormat="1" applyFont="1"/>
    <xf numFmtId="164" fontId="2" fillId="0" borderId="0" xfId="0" applyNumberFormat="1" applyFont="1"/>
    <xf numFmtId="0" fontId="3" fillId="0" borderId="0" xfId="0" applyFont="1"/>
    <xf numFmtId="43" fontId="3" fillId="0" borderId="0" xfId="1" applyFont="1"/>
    <xf numFmtId="164" fontId="3" fillId="0" borderId="0" xfId="1" applyNumberFormat="1" applyFont="1"/>
    <xf numFmtId="164" fontId="3" fillId="0" borderId="0" xfId="0" applyNumberFormat="1" applyFont="1"/>
    <xf numFmtId="0" fontId="3" fillId="0" borderId="0" xfId="0" quotePrefix="1" applyFont="1"/>
    <xf numFmtId="9" fontId="3" fillId="0" borderId="0" xfId="2" applyFont="1"/>
    <xf numFmtId="8" fontId="3" fillId="0" borderId="0" xfId="0" applyNumberFormat="1" applyFont="1"/>
    <xf numFmtId="43" fontId="3" fillId="0" borderId="0" xfId="0" applyNumberFormat="1" applyFont="1"/>
    <xf numFmtId="0" fontId="3" fillId="2" borderId="0" xfId="0" applyFont="1" applyFill="1"/>
    <xf numFmtId="164" fontId="3" fillId="2" borderId="0" xfId="1" applyNumberFormat="1" applyFont="1" applyFill="1"/>
    <xf numFmtId="164" fontId="3" fillId="2" borderId="0" xfId="0" applyNumberFormat="1" applyFont="1" applyFill="1"/>
    <xf numFmtId="0" fontId="3" fillId="2" borderId="0" xfId="0" quotePrefix="1" applyFont="1" applyFill="1"/>
    <xf numFmtId="0" fontId="4" fillId="0" borderId="0" xfId="0" applyFont="1"/>
    <xf numFmtId="164" fontId="4" fillId="0" borderId="0" xfId="1" applyNumberFormat="1" applyFont="1" applyFill="1"/>
    <xf numFmtId="8" fontId="4" fillId="0" borderId="0" xfId="0" applyNumberFormat="1" applyFont="1"/>
    <xf numFmtId="164" fontId="4" fillId="0" borderId="0" xfId="0" applyNumberFormat="1" applyFont="1"/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4875F-05E5-4F83-8F7F-D1AEF83588CD}">
  <dimension ref="A1:AG34"/>
  <sheetViews>
    <sheetView tabSelected="1" topLeftCell="C10" zoomScale="89" zoomScaleNormal="89" workbookViewId="0">
      <selection activeCell="F8" sqref="F8"/>
    </sheetView>
  </sheetViews>
  <sheetFormatPr defaultRowHeight="15.75" x14ac:dyDescent="0.25"/>
  <cols>
    <col min="1" max="1" width="17.7109375" style="4" customWidth="1"/>
    <col min="2" max="2" width="16.28515625" style="5" bestFit="1" customWidth="1"/>
    <col min="3" max="3" width="11.5703125" style="5" bestFit="1" customWidth="1"/>
    <col min="4" max="4" width="13.5703125" style="5" bestFit="1" customWidth="1"/>
    <col min="5" max="5" width="8.7109375" style="4" bestFit="1" customWidth="1"/>
    <col min="6" max="6" width="13.5703125" style="4" bestFit="1" customWidth="1"/>
    <col min="7" max="7" width="11.5703125" style="4" bestFit="1" customWidth="1"/>
    <col min="8" max="8" width="13.5703125" style="4" bestFit="1" customWidth="1"/>
    <col min="9" max="9" width="8.7109375" style="4" bestFit="1" customWidth="1"/>
    <col min="10" max="10" width="13.5703125" style="4" bestFit="1" customWidth="1"/>
    <col min="11" max="11" width="11.5703125" style="4" bestFit="1" customWidth="1"/>
    <col min="12" max="12" width="14.5703125" style="4" bestFit="1" customWidth="1"/>
    <col min="13" max="13" width="8.7109375" style="4" bestFit="1" customWidth="1"/>
    <col min="14" max="14" width="13.5703125" style="4" bestFit="1" customWidth="1"/>
    <col min="15" max="15" width="11.5703125" style="4" bestFit="1" customWidth="1"/>
    <col min="16" max="16" width="13.5703125" style="4" bestFit="1" customWidth="1"/>
    <col min="17" max="17" width="9.85546875" style="4" bestFit="1" customWidth="1"/>
    <col min="18" max="18" width="20.140625" style="4" bestFit="1" customWidth="1"/>
    <col min="19" max="19" width="13.5703125" style="4" bestFit="1" customWidth="1"/>
    <col min="20" max="20" width="11.5703125" style="4" bestFit="1" customWidth="1"/>
    <col min="21" max="21" width="13.5703125" style="4" bestFit="1" customWidth="1"/>
    <col min="22" max="22" width="8.7109375" style="4" bestFit="1" customWidth="1"/>
    <col min="23" max="23" width="13.5703125" style="4" bestFit="1" customWidth="1"/>
    <col min="24" max="24" width="11.5703125" style="4" bestFit="1" customWidth="1"/>
    <col min="25" max="25" width="13.5703125" style="4" bestFit="1" customWidth="1"/>
    <col min="26" max="26" width="9.85546875" style="4" bestFit="1" customWidth="1"/>
    <col min="27" max="27" width="13.5703125" style="4" bestFit="1" customWidth="1"/>
    <col min="28" max="28" width="10.42578125" style="4" bestFit="1" customWidth="1"/>
    <col min="29" max="29" width="12.28515625" style="4" bestFit="1" customWidth="1"/>
    <col min="30" max="30" width="2.85546875" style="4" customWidth="1"/>
    <col min="31" max="31" width="15.28515625" style="4" customWidth="1"/>
    <col min="32" max="32" width="12.7109375" style="4" bestFit="1" customWidth="1"/>
    <col min="33" max="33" width="14.7109375" style="4" bestFit="1" customWidth="1"/>
    <col min="34" max="16384" width="9.140625" style="4"/>
  </cols>
  <sheetData>
    <row r="1" spans="1:33" x14ac:dyDescent="0.25">
      <c r="A1" s="4" t="s">
        <v>20</v>
      </c>
      <c r="B1" s="4"/>
      <c r="R1" s="4" t="s">
        <v>20</v>
      </c>
    </row>
    <row r="2" spans="1:33" x14ac:dyDescent="0.25">
      <c r="A2" s="4" t="s">
        <v>0</v>
      </c>
      <c r="B2" s="4"/>
      <c r="R2" s="4" t="s">
        <v>0</v>
      </c>
    </row>
    <row r="3" spans="1:33" x14ac:dyDescent="0.25">
      <c r="AA3" s="20" t="s">
        <v>36</v>
      </c>
      <c r="AB3" s="20"/>
      <c r="AC3" s="20"/>
    </row>
    <row r="4" spans="1:33" s="1" customFormat="1" ht="12.75" x14ac:dyDescent="0.2">
      <c r="B4" s="1" t="s">
        <v>22</v>
      </c>
      <c r="C4" s="1" t="s">
        <v>21</v>
      </c>
      <c r="D4" s="1" t="s">
        <v>25</v>
      </c>
      <c r="F4" s="1" t="s">
        <v>23</v>
      </c>
      <c r="G4" s="1" t="s">
        <v>24</v>
      </c>
      <c r="H4" s="1" t="s">
        <v>25</v>
      </c>
      <c r="J4" s="1" t="s">
        <v>26</v>
      </c>
      <c r="K4" s="1" t="s">
        <v>27</v>
      </c>
      <c r="L4" s="1" t="s">
        <v>25</v>
      </c>
      <c r="N4" s="1" t="s">
        <v>28</v>
      </c>
      <c r="O4" s="1" t="s">
        <v>29</v>
      </c>
      <c r="P4" s="1" t="s">
        <v>25</v>
      </c>
      <c r="S4" s="1" t="s">
        <v>30</v>
      </c>
      <c r="T4" s="1" t="s">
        <v>31</v>
      </c>
      <c r="U4" s="1" t="s">
        <v>25</v>
      </c>
      <c r="W4" s="1" t="s">
        <v>32</v>
      </c>
      <c r="X4" s="1" t="s">
        <v>33</v>
      </c>
      <c r="Y4" s="1" t="s">
        <v>25</v>
      </c>
      <c r="AA4" s="1" t="s">
        <v>34</v>
      </c>
      <c r="AB4" s="1" t="s">
        <v>35</v>
      </c>
      <c r="AC4" s="1" t="s">
        <v>25</v>
      </c>
      <c r="AE4" s="1" t="s">
        <v>37</v>
      </c>
      <c r="AF4" s="1" t="s">
        <v>38</v>
      </c>
      <c r="AG4" s="1" t="s">
        <v>39</v>
      </c>
    </row>
    <row r="5" spans="1:33" s="12" customFormat="1" x14ac:dyDescent="0.25">
      <c r="A5" s="12" t="s">
        <v>1</v>
      </c>
      <c r="B5" s="13">
        <v>1500000</v>
      </c>
      <c r="C5" s="13">
        <v>1500000</v>
      </c>
      <c r="D5" s="13">
        <f>+C5-B5</f>
        <v>0</v>
      </c>
      <c r="E5" s="14"/>
      <c r="F5" s="14">
        <f>+B5</f>
        <v>1500000</v>
      </c>
      <c r="G5" s="14">
        <v>1500000</v>
      </c>
      <c r="H5" s="14">
        <f>+G5-F5</f>
        <v>0</v>
      </c>
      <c r="I5" s="14"/>
      <c r="J5" s="14">
        <f>+F5</f>
        <v>1500000</v>
      </c>
      <c r="K5" s="14">
        <v>1500000</v>
      </c>
      <c r="L5" s="14">
        <f>+K5-J5</f>
        <v>0</v>
      </c>
      <c r="M5" s="14"/>
      <c r="N5" s="14">
        <f>+J5</f>
        <v>1500000</v>
      </c>
      <c r="O5" s="14">
        <v>1500000</v>
      </c>
      <c r="P5" s="14">
        <f>+O5-N5</f>
        <v>0</v>
      </c>
      <c r="Q5" s="14"/>
      <c r="R5" s="12" t="s">
        <v>1</v>
      </c>
      <c r="S5" s="14">
        <f>+N5</f>
        <v>1500000</v>
      </c>
      <c r="T5" s="14">
        <f>1500000-125000+151298</f>
        <v>1526298</v>
      </c>
      <c r="U5" s="14">
        <f>+T5-S5</f>
        <v>26298</v>
      </c>
      <c r="V5" s="14"/>
      <c r="W5" s="14">
        <f>+S5*W28+S5</f>
        <v>1650000</v>
      </c>
      <c r="X5" s="14">
        <f>151298*12</f>
        <v>1815576</v>
      </c>
      <c r="Y5" s="14">
        <f>+X5-W5</f>
        <v>165576</v>
      </c>
      <c r="Z5" s="14"/>
      <c r="AA5" s="14">
        <f>1650000/4</f>
        <v>412500</v>
      </c>
      <c r="AB5" s="14">
        <f>151298*3</f>
        <v>453894</v>
      </c>
      <c r="AC5" s="14">
        <f>+AB5-AA5</f>
        <v>41394</v>
      </c>
      <c r="AD5" s="14"/>
      <c r="AE5" s="14">
        <f>+B5+F5+J5+N5+S5+W5+AA5</f>
        <v>9562500</v>
      </c>
      <c r="AF5" s="14">
        <f>+C5+G5+K5+O5+T5+X5+AB5</f>
        <v>9795768</v>
      </c>
      <c r="AG5" s="14">
        <f>+D5+H5+L5+P5+U5+Y5+AC5</f>
        <v>233268</v>
      </c>
    </row>
    <row r="6" spans="1:33" x14ac:dyDescent="0.25">
      <c r="A6" s="4" t="s">
        <v>2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4" t="s">
        <v>2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3" s="12" customFormat="1" x14ac:dyDescent="0.25">
      <c r="A7" s="15" t="s">
        <v>3</v>
      </c>
      <c r="B7" s="13">
        <f>2*200000</f>
        <v>400000</v>
      </c>
      <c r="C7" s="13">
        <v>400000</v>
      </c>
      <c r="D7" s="13">
        <f t="shared" ref="D7:D12" si="0">+C7-B7</f>
        <v>0</v>
      </c>
      <c r="E7" s="14"/>
      <c r="F7" s="14">
        <f>+B7</f>
        <v>400000</v>
      </c>
      <c r="G7" s="14">
        <v>37945</v>
      </c>
      <c r="H7" s="14">
        <f>+G7-F7</f>
        <v>-362055</v>
      </c>
      <c r="I7" s="14"/>
      <c r="J7" s="14">
        <f>+F7</f>
        <v>400000</v>
      </c>
      <c r="K7" s="14">
        <v>204318</v>
      </c>
      <c r="L7" s="14">
        <f>+K7-J7</f>
        <v>-195682</v>
      </c>
      <c r="M7" s="14"/>
      <c r="N7" s="14">
        <f>+J7</f>
        <v>400000</v>
      </c>
      <c r="O7" s="14">
        <v>400000</v>
      </c>
      <c r="P7" s="14">
        <f>+O7-N7</f>
        <v>0</v>
      </c>
      <c r="Q7" s="14"/>
      <c r="R7" s="15" t="s">
        <v>3</v>
      </c>
      <c r="S7" s="14">
        <f>+N7</f>
        <v>400000</v>
      </c>
      <c r="T7" s="14">
        <v>400000</v>
      </c>
      <c r="U7" s="14">
        <f>+T7-S7</f>
        <v>0</v>
      </c>
      <c r="V7" s="14"/>
      <c r="W7" s="14">
        <f>200000*2.2</f>
        <v>440000.00000000006</v>
      </c>
      <c r="X7" s="14">
        <f>200000*2.42</f>
        <v>484000</v>
      </c>
      <c r="Y7" s="14">
        <f>+X7-W7</f>
        <v>43999.999999999942</v>
      </c>
      <c r="Z7" s="14"/>
      <c r="AA7" s="13">
        <f>440000/12*3</f>
        <v>110000</v>
      </c>
      <c r="AB7" s="13">
        <f>58155.02+12000</f>
        <v>70155.01999999999</v>
      </c>
      <c r="AC7" s="13">
        <f>+AB7-AA7</f>
        <v>-39844.98000000001</v>
      </c>
      <c r="AD7" s="14"/>
      <c r="AE7" s="14">
        <f t="shared" ref="AE7:AG11" si="1">+B7+F7+J7+N7+S7+W7+AA7</f>
        <v>2550000</v>
      </c>
      <c r="AF7" s="14">
        <f t="shared" si="1"/>
        <v>1996418.02</v>
      </c>
      <c r="AG7" s="14">
        <f t="shared" si="1"/>
        <v>-553581.9800000001</v>
      </c>
    </row>
    <row r="8" spans="1:33" x14ac:dyDescent="0.25">
      <c r="A8" s="8" t="s">
        <v>5</v>
      </c>
      <c r="B8" s="6">
        <f>300000*3</f>
        <v>900000</v>
      </c>
      <c r="C8" s="6">
        <f>1036729-400000</f>
        <v>636729</v>
      </c>
      <c r="D8" s="6">
        <f t="shared" si="0"/>
        <v>-263271</v>
      </c>
      <c r="E8" s="3">
        <v>535000</v>
      </c>
      <c r="F8" s="6">
        <f>335000*3</f>
        <v>1005000</v>
      </c>
      <c r="G8" s="6">
        <v>0</v>
      </c>
      <c r="H8" s="6">
        <f>+G8-F8</f>
        <v>-1005000</v>
      </c>
      <c r="I8" s="2">
        <f>535000*0.07+535000</f>
        <v>572450</v>
      </c>
      <c r="J8" s="6">
        <f>372450*3</f>
        <v>1117350</v>
      </c>
      <c r="K8" s="6">
        <v>0</v>
      </c>
      <c r="L8" s="6">
        <f>+K8-J8</f>
        <v>-1117350</v>
      </c>
      <c r="M8" s="3">
        <f>+I8*0.07+I8</f>
        <v>612521.5</v>
      </c>
      <c r="N8" s="6">
        <f>412522*3</f>
        <v>1237566</v>
      </c>
      <c r="O8" s="6">
        <f>568663-400000</f>
        <v>168663</v>
      </c>
      <c r="P8" s="6"/>
      <c r="Q8" s="6">
        <f>+M8*0.07+M8</f>
        <v>655398.005</v>
      </c>
      <c r="R8" s="8" t="s">
        <v>5</v>
      </c>
      <c r="S8" s="6">
        <f>455398*3</f>
        <v>1366194</v>
      </c>
      <c r="T8" s="6">
        <v>25842</v>
      </c>
      <c r="U8" s="6">
        <f>+T8-S8</f>
        <v>-1340352</v>
      </c>
      <c r="V8" s="3">
        <f>+Q8*0.07+Q8</f>
        <v>701275.86534999998</v>
      </c>
      <c r="W8" s="6">
        <f>501276*3.3</f>
        <v>1654210.7999999998</v>
      </c>
      <c r="X8" s="6">
        <f>919948-484000</f>
        <v>435948</v>
      </c>
      <c r="Y8" s="6">
        <f>+X8-W8</f>
        <v>-1218262.7999999998</v>
      </c>
      <c r="Z8" s="3">
        <f>+V8*0.07+V8</f>
        <v>750365.17592449998</v>
      </c>
      <c r="AA8" s="6">
        <v>0</v>
      </c>
      <c r="AB8" s="6">
        <v>0</v>
      </c>
      <c r="AC8" s="6"/>
      <c r="AD8" s="7"/>
      <c r="AE8" s="7">
        <f t="shared" si="1"/>
        <v>7280320.7999999998</v>
      </c>
      <c r="AF8" s="7">
        <f t="shared" si="1"/>
        <v>1267182</v>
      </c>
      <c r="AG8" s="7">
        <f t="shared" si="1"/>
        <v>-4944235.8</v>
      </c>
    </row>
    <row r="9" spans="1:33" s="12" customFormat="1" x14ac:dyDescent="0.25">
      <c r="A9" s="12" t="s">
        <v>4</v>
      </c>
      <c r="B9" s="13">
        <v>550000</v>
      </c>
      <c r="C9" s="13">
        <v>271565.5</v>
      </c>
      <c r="D9" s="13">
        <f t="shared" si="0"/>
        <v>-278434.5</v>
      </c>
      <c r="E9" s="14" t="s">
        <v>6</v>
      </c>
      <c r="F9" s="14">
        <f>+B9*0.07+B9</f>
        <v>588500</v>
      </c>
      <c r="G9" s="14">
        <v>60875</v>
      </c>
      <c r="H9" s="14">
        <f>+G9-F9</f>
        <v>-527625</v>
      </c>
      <c r="I9" s="14"/>
      <c r="J9" s="14">
        <f>+F9*0.07+F9</f>
        <v>629695</v>
      </c>
      <c r="K9" s="14">
        <v>0</v>
      </c>
      <c r="L9" s="14">
        <f>+K9-J9</f>
        <v>-629695</v>
      </c>
      <c r="M9" s="14" t="s">
        <v>6</v>
      </c>
      <c r="N9" s="14">
        <f>+J9*0.07+J9</f>
        <v>673773.65</v>
      </c>
      <c r="O9" s="14">
        <v>0</v>
      </c>
      <c r="P9" s="14">
        <f>+O9-N9</f>
        <v>-673773.65</v>
      </c>
      <c r="Q9" s="14"/>
      <c r="R9" s="12" t="s">
        <v>4</v>
      </c>
      <c r="S9" s="14">
        <f>+N9*0.07+N9</f>
        <v>720937.80550000002</v>
      </c>
      <c r="T9" s="14">
        <v>0</v>
      </c>
      <c r="U9" s="14">
        <f>+T9-S9</f>
        <v>-720937.80550000002</v>
      </c>
      <c r="V9" s="14" t="s">
        <v>6</v>
      </c>
      <c r="W9" s="14">
        <f>+S9*0.07+S9</f>
        <v>771403.45188499999</v>
      </c>
      <c r="X9" s="14">
        <v>216100</v>
      </c>
      <c r="Y9" s="14">
        <f>+X9-W9</f>
        <v>-555303.45188499999</v>
      </c>
      <c r="Z9" s="14" t="s">
        <v>6</v>
      </c>
      <c r="AA9" s="14">
        <f>+(W9*0.07+W9)/4</f>
        <v>206350.4233792375</v>
      </c>
      <c r="AB9" s="14">
        <v>125963</v>
      </c>
      <c r="AC9" s="14">
        <f>+AB9-AA9</f>
        <v>-80387.423379237502</v>
      </c>
      <c r="AD9" s="14"/>
      <c r="AE9" s="14">
        <f t="shared" si="1"/>
        <v>4140660.3307642373</v>
      </c>
      <c r="AF9" s="14">
        <f t="shared" si="1"/>
        <v>674503.5</v>
      </c>
      <c r="AG9" s="14">
        <f t="shared" si="1"/>
        <v>-3466156.8307642373</v>
      </c>
    </row>
    <row r="10" spans="1:33" x14ac:dyDescent="0.25">
      <c r="A10" s="4" t="s">
        <v>10</v>
      </c>
      <c r="B10" s="6">
        <f>65*40000</f>
        <v>2600000</v>
      </c>
      <c r="C10" s="6">
        <v>0</v>
      </c>
      <c r="D10" s="6">
        <f t="shared" si="0"/>
        <v>-2600000</v>
      </c>
      <c r="E10" s="7"/>
      <c r="F10" s="6">
        <f>65*40000</f>
        <v>2600000</v>
      </c>
      <c r="G10" s="6">
        <v>0</v>
      </c>
      <c r="H10" s="6">
        <f>+G10-F10</f>
        <v>-2600000</v>
      </c>
      <c r="I10" s="7"/>
      <c r="J10" s="6">
        <f>65*40000</f>
        <v>2600000</v>
      </c>
      <c r="K10" s="6">
        <v>0</v>
      </c>
      <c r="L10" s="6">
        <f>+K10-J10</f>
        <v>-2600000</v>
      </c>
      <c r="M10" s="7"/>
      <c r="N10" s="6">
        <f>65*40000</f>
        <v>2600000</v>
      </c>
      <c r="O10" s="6">
        <v>0</v>
      </c>
      <c r="P10" s="6">
        <f>+O10-N10</f>
        <v>-2600000</v>
      </c>
      <c r="Q10" s="6"/>
      <c r="R10" s="4" t="s">
        <v>10</v>
      </c>
      <c r="S10" s="6">
        <f>65*40000</f>
        <v>2600000</v>
      </c>
      <c r="T10" s="6">
        <v>0</v>
      </c>
      <c r="U10" s="6">
        <f>+T10-S10</f>
        <v>-2600000</v>
      </c>
      <c r="V10" s="7"/>
      <c r="W10" s="7">
        <v>2600000</v>
      </c>
      <c r="X10" s="7">
        <v>0</v>
      </c>
      <c r="Y10" s="7">
        <f>+X10-W10</f>
        <v>-2600000</v>
      </c>
      <c r="Z10" s="7"/>
      <c r="AA10" s="7">
        <f>2600000/4</f>
        <v>650000</v>
      </c>
      <c r="AB10" s="7">
        <v>0</v>
      </c>
      <c r="AC10" s="7">
        <f>+AB10-AA10</f>
        <v>-650000</v>
      </c>
      <c r="AD10" s="7"/>
      <c r="AE10" s="7">
        <f t="shared" si="1"/>
        <v>16250000</v>
      </c>
      <c r="AF10" s="7">
        <f t="shared" si="1"/>
        <v>0</v>
      </c>
      <c r="AG10" s="7">
        <f t="shared" si="1"/>
        <v>-16250000</v>
      </c>
    </row>
    <row r="11" spans="1:33" s="12" customFormat="1" x14ac:dyDescent="0.25">
      <c r="A11" s="12" t="s">
        <v>11</v>
      </c>
      <c r="B11" s="13">
        <f>130000*40</f>
        <v>5200000</v>
      </c>
      <c r="C11" s="13">
        <v>0</v>
      </c>
      <c r="D11" s="13">
        <f t="shared" si="0"/>
        <v>-5200000</v>
      </c>
      <c r="E11" s="14"/>
      <c r="F11" s="13">
        <f>130000*40</f>
        <v>5200000</v>
      </c>
      <c r="G11" s="13">
        <v>0</v>
      </c>
      <c r="H11" s="13">
        <f>+G11-F11</f>
        <v>-5200000</v>
      </c>
      <c r="I11" s="14"/>
      <c r="J11" s="13">
        <f>130000*40</f>
        <v>5200000</v>
      </c>
      <c r="K11" s="13">
        <v>0</v>
      </c>
      <c r="L11" s="13">
        <f>+K11-J11</f>
        <v>-5200000</v>
      </c>
      <c r="M11" s="14"/>
      <c r="N11" s="13">
        <f>130000*40</f>
        <v>5200000</v>
      </c>
      <c r="O11" s="13">
        <v>0</v>
      </c>
      <c r="P11" s="13">
        <f>+O11-N11</f>
        <v>-5200000</v>
      </c>
      <c r="Q11" s="13"/>
      <c r="R11" s="12" t="s">
        <v>11</v>
      </c>
      <c r="S11" s="13">
        <f>130000*40</f>
        <v>5200000</v>
      </c>
      <c r="T11" s="13">
        <v>0</v>
      </c>
      <c r="U11" s="13">
        <f>+T11-S11</f>
        <v>-5200000</v>
      </c>
      <c r="V11" s="14"/>
      <c r="W11" s="14">
        <v>5200000</v>
      </c>
      <c r="X11" s="14">
        <v>0</v>
      </c>
      <c r="Y11" s="14">
        <f>+X11-W11</f>
        <v>-5200000</v>
      </c>
      <c r="Z11" s="14"/>
      <c r="AA11" s="14">
        <f>5200000/4</f>
        <v>1300000</v>
      </c>
      <c r="AB11" s="14">
        <v>0</v>
      </c>
      <c r="AC11" s="14">
        <f>+AB11-AA11</f>
        <v>-1300000</v>
      </c>
      <c r="AD11" s="14"/>
      <c r="AE11" s="14">
        <f t="shared" si="1"/>
        <v>32500000</v>
      </c>
      <c r="AF11" s="14">
        <f t="shared" si="1"/>
        <v>0</v>
      </c>
      <c r="AG11" s="14">
        <f t="shared" si="1"/>
        <v>-32500000</v>
      </c>
    </row>
    <row r="12" spans="1:33" x14ac:dyDescent="0.25">
      <c r="B12" s="6">
        <f>SUM(B5:B11)</f>
        <v>11150000</v>
      </c>
      <c r="C12" s="6">
        <f>SUM(C5:C11)</f>
        <v>2808294.5</v>
      </c>
      <c r="D12" s="6">
        <f t="shared" si="0"/>
        <v>-8341705.5</v>
      </c>
      <c r="E12" s="7" t="s">
        <v>6</v>
      </c>
      <c r="F12" s="6">
        <f>SUM(F5:F11)</f>
        <v>11293500</v>
      </c>
      <c r="G12" s="6">
        <f>SUM(G5:G11)</f>
        <v>1598820</v>
      </c>
      <c r="H12" s="6">
        <f>SUM(H5:H11)</f>
        <v>-9694680</v>
      </c>
      <c r="I12" s="7" t="s">
        <v>6</v>
      </c>
      <c r="J12" s="6">
        <f>SUM(J5:J11)</f>
        <v>11447045</v>
      </c>
      <c r="K12" s="6">
        <f t="shared" ref="K12:L12" si="2">SUM(K5:K11)</f>
        <v>1704318</v>
      </c>
      <c r="L12" s="6">
        <f t="shared" si="2"/>
        <v>-9742727</v>
      </c>
      <c r="M12" s="7" t="s">
        <v>6</v>
      </c>
      <c r="N12" s="6">
        <f>SUM(N5:N11)</f>
        <v>11611339.65</v>
      </c>
      <c r="O12" s="6">
        <f t="shared" ref="O12:P12" si="3">SUM(O5:O11)</f>
        <v>2068663</v>
      </c>
      <c r="P12" s="6">
        <f t="shared" si="3"/>
        <v>-8473773.6500000004</v>
      </c>
      <c r="Q12" s="6"/>
      <c r="S12" s="6">
        <f>SUM(S5:S11)</f>
        <v>11787131.805500001</v>
      </c>
      <c r="T12" s="6">
        <f t="shared" ref="T12:U12" si="4">SUM(T5:T11)</f>
        <v>1952140</v>
      </c>
      <c r="U12" s="6">
        <f t="shared" si="4"/>
        <v>-9834991.8055000007</v>
      </c>
      <c r="V12" s="7" t="s">
        <v>6</v>
      </c>
      <c r="W12" s="6">
        <f>SUM(W5:W11)</f>
        <v>12315614.251885001</v>
      </c>
      <c r="X12" s="6">
        <f t="shared" ref="X12:Y12" si="5">SUM(X5:X11)</f>
        <v>2951624</v>
      </c>
      <c r="Y12" s="6">
        <f t="shared" si="5"/>
        <v>-9363990.2518850006</v>
      </c>
      <c r="Z12" s="7" t="s">
        <v>6</v>
      </c>
      <c r="AA12" s="6">
        <f>SUM(AA5:AA11)</f>
        <v>2678850.4233792378</v>
      </c>
      <c r="AB12" s="6">
        <f t="shared" ref="AB12:AC12" si="6">SUM(AB5:AB11)</f>
        <v>650012.02</v>
      </c>
      <c r="AC12" s="6">
        <f t="shared" si="6"/>
        <v>-2028838.4033792375</v>
      </c>
      <c r="AD12" s="7"/>
      <c r="AE12" s="6">
        <f>SUM(AE5:AE11)</f>
        <v>72283481.130764246</v>
      </c>
      <c r="AF12" s="6">
        <f t="shared" ref="AF12" si="7">SUM(AF5:AF11)</f>
        <v>13733871.52</v>
      </c>
      <c r="AG12" s="6">
        <f>SUM(AG5:AG11)</f>
        <v>-57480706.610764235</v>
      </c>
    </row>
    <row r="13" spans="1:33" x14ac:dyDescent="0.25">
      <c r="B13" s="6"/>
      <c r="C13" s="6"/>
      <c r="D13" s="6"/>
      <c r="E13" s="7"/>
      <c r="F13" s="7"/>
      <c r="G13" s="7"/>
      <c r="H13" s="7"/>
      <c r="I13" s="7"/>
      <c r="J13" s="7"/>
      <c r="K13" s="7"/>
      <c r="L13" s="7"/>
      <c r="M13" s="7" t="s">
        <v>6</v>
      </c>
      <c r="N13" s="7"/>
      <c r="O13" s="7"/>
      <c r="P13" s="7"/>
      <c r="Q13" s="7"/>
      <c r="S13" s="7"/>
      <c r="T13" s="7"/>
      <c r="U13" s="7"/>
      <c r="V13" s="7"/>
      <c r="W13" s="7" t="s">
        <v>6</v>
      </c>
      <c r="X13" s="7"/>
      <c r="Y13" s="7"/>
      <c r="Z13" s="7"/>
      <c r="AA13" s="7"/>
      <c r="AB13" s="7"/>
      <c r="AC13" s="7"/>
      <c r="AD13" s="7"/>
      <c r="AE13" s="7"/>
    </row>
    <row r="14" spans="1:33" s="12" customFormat="1" x14ac:dyDescent="0.25">
      <c r="A14" s="12" t="s">
        <v>7</v>
      </c>
      <c r="B14" s="13"/>
      <c r="C14" s="13"/>
      <c r="D14" s="13"/>
      <c r="E14" s="14"/>
      <c r="F14" s="13">
        <v>475000</v>
      </c>
      <c r="G14" s="13"/>
      <c r="H14" s="13">
        <f>+G14-F14</f>
        <v>-475000</v>
      </c>
      <c r="I14" s="14"/>
      <c r="J14" s="14">
        <f>+F14*0.04+F14</f>
        <v>494000</v>
      </c>
      <c r="K14" s="14"/>
      <c r="L14" s="14">
        <f>+K14-J14</f>
        <v>-494000</v>
      </c>
      <c r="M14" s="14"/>
      <c r="N14" s="14">
        <f>+J14*0.04+J14</f>
        <v>513760</v>
      </c>
      <c r="O14" s="14"/>
      <c r="P14" s="14">
        <f>+O14-N14</f>
        <v>-513760</v>
      </c>
      <c r="Q14" s="14"/>
      <c r="R14" s="12" t="s">
        <v>7</v>
      </c>
      <c r="S14" s="14">
        <f>+N14*0.04+N14</f>
        <v>534310.40000000002</v>
      </c>
      <c r="T14" s="14"/>
      <c r="U14" s="14">
        <f>+T14-S14</f>
        <v>-534310.40000000002</v>
      </c>
      <c r="V14" s="14"/>
      <c r="W14" s="14">
        <f>+S14*0.04+S14</f>
        <v>555682.81599999999</v>
      </c>
      <c r="X14" s="14"/>
      <c r="Y14" s="14">
        <f>+X14-W14</f>
        <v>-555682.81599999999</v>
      </c>
      <c r="Z14" s="14"/>
      <c r="AA14" s="14">
        <f>+(W14*0.04+W14)/4</f>
        <v>144477.53216</v>
      </c>
      <c r="AB14" s="14"/>
      <c r="AC14" s="14">
        <f>+AB14-AA14</f>
        <v>-144477.53216</v>
      </c>
      <c r="AD14" s="14"/>
      <c r="AE14" s="14">
        <f>+B14+F14+J14+N14+S14+W14+AA14</f>
        <v>2717230.74816</v>
      </c>
      <c r="AF14" s="12">
        <v>0</v>
      </c>
      <c r="AG14" s="14">
        <f t="shared" ref="AG14:AG19" si="8">+D14+H14+L14+P14+U14+Y14+AC14</f>
        <v>-2717230.74816</v>
      </c>
    </row>
    <row r="15" spans="1:33" x14ac:dyDescent="0.25">
      <c r="A15" s="4" t="s">
        <v>8</v>
      </c>
      <c r="B15" s="6"/>
      <c r="C15" s="6"/>
      <c r="D15" s="6"/>
      <c r="E15" s="7"/>
      <c r="F15" s="7"/>
      <c r="G15" s="7"/>
      <c r="H15" s="7"/>
      <c r="I15" s="7"/>
      <c r="J15" s="6">
        <v>525000</v>
      </c>
      <c r="K15" s="6"/>
      <c r="L15" s="6">
        <f>+K15-J15</f>
        <v>-525000</v>
      </c>
      <c r="M15" s="7"/>
      <c r="N15" s="7">
        <f>+J15*0.04+J15</f>
        <v>546000</v>
      </c>
      <c r="O15" s="7"/>
      <c r="P15" s="7">
        <f>+O15-N15</f>
        <v>-546000</v>
      </c>
      <c r="Q15" s="7"/>
      <c r="R15" s="4" t="s">
        <v>8</v>
      </c>
      <c r="S15" s="7">
        <f>+N15*0.04+N15</f>
        <v>567840</v>
      </c>
      <c r="T15" s="7"/>
      <c r="U15" s="7">
        <f>+T15-S15</f>
        <v>-567840</v>
      </c>
      <c r="V15" s="7"/>
      <c r="W15" s="7">
        <f>+S15*0.04+S15</f>
        <v>590553.59999999998</v>
      </c>
      <c r="X15" s="7"/>
      <c r="Y15" s="7">
        <f>+X15-W15</f>
        <v>-590553.59999999998</v>
      </c>
      <c r="Z15" s="7"/>
      <c r="AA15" s="7">
        <f>+(W15*0.04+W15)/4</f>
        <v>153543.93599999999</v>
      </c>
      <c r="AB15" s="7"/>
      <c r="AC15" s="7">
        <f>+AB15-AA15</f>
        <v>-153543.93599999999</v>
      </c>
      <c r="AD15" s="7"/>
      <c r="AE15" s="7">
        <f>+B15+F15+J15+N15+S15+W15+AA15</f>
        <v>2382937.5360000003</v>
      </c>
      <c r="AF15" s="4">
        <v>0</v>
      </c>
      <c r="AG15" s="7">
        <f t="shared" si="8"/>
        <v>-2382937.5360000003</v>
      </c>
    </row>
    <row r="16" spans="1:33" s="12" customFormat="1" x14ac:dyDescent="0.25">
      <c r="A16" s="12" t="s">
        <v>47</v>
      </c>
      <c r="B16" s="13"/>
      <c r="C16" s="13"/>
      <c r="D16" s="13"/>
      <c r="E16" s="14"/>
      <c r="F16" s="14"/>
      <c r="G16" s="14"/>
      <c r="H16" s="14">
        <v>-52700</v>
      </c>
      <c r="I16" s="14"/>
      <c r="J16" s="13" t="s">
        <v>6</v>
      </c>
      <c r="K16" s="13"/>
      <c r="L16" s="13">
        <v>-377167</v>
      </c>
      <c r="M16" s="14"/>
      <c r="N16" s="14"/>
      <c r="O16" s="14"/>
      <c r="P16" s="14"/>
      <c r="Q16" s="14"/>
      <c r="R16" s="12" t="s">
        <v>47</v>
      </c>
      <c r="S16" s="14"/>
      <c r="T16" s="14"/>
      <c r="U16" s="14">
        <v>-377167</v>
      </c>
      <c r="V16" s="14"/>
      <c r="W16" s="14"/>
      <c r="X16" s="14"/>
      <c r="Y16" s="14">
        <v>-378200</v>
      </c>
      <c r="Z16" s="14"/>
      <c r="AA16" s="14"/>
      <c r="AB16" s="14"/>
      <c r="AC16" s="14">
        <v>-522523</v>
      </c>
      <c r="AD16" s="14"/>
      <c r="AE16" s="14"/>
      <c r="AG16" s="14">
        <f t="shared" si="8"/>
        <v>-1707757</v>
      </c>
    </row>
    <row r="17" spans="1:33" x14ac:dyDescent="0.25">
      <c r="A17" s="4" t="s">
        <v>40</v>
      </c>
      <c r="B17" s="6"/>
      <c r="C17" s="6"/>
      <c r="D17" s="6">
        <f>-398328*3.5</f>
        <v>-1394148</v>
      </c>
      <c r="E17" s="7"/>
      <c r="F17" s="7"/>
      <c r="G17" s="7"/>
      <c r="H17" s="7">
        <f>-37943*3.5</f>
        <v>-132800.5</v>
      </c>
      <c r="I17" s="7"/>
      <c r="J17" s="6"/>
      <c r="K17" s="6"/>
      <c r="L17" s="6">
        <f>-102159*3.5</f>
        <v>-357556.5</v>
      </c>
      <c r="M17" s="7"/>
      <c r="N17" s="7"/>
      <c r="O17" s="7"/>
      <c r="P17" s="7">
        <f>-256221*3.5</f>
        <v>-896773.5</v>
      </c>
      <c r="Q17" s="7"/>
      <c r="R17" s="4" t="s">
        <v>40</v>
      </c>
      <c r="S17" s="7"/>
      <c r="T17" s="7"/>
      <c r="U17" s="7">
        <f>-208614*3.5</f>
        <v>-730149</v>
      </c>
      <c r="V17" s="7"/>
      <c r="W17" s="7"/>
      <c r="X17" s="7"/>
      <c r="Y17" s="7">
        <f>-320096*3.5</f>
        <v>-1120336</v>
      </c>
      <c r="Z17" s="7">
        <f>+Z8/4</f>
        <v>187591.293981125</v>
      </c>
      <c r="AA17" s="7"/>
      <c r="AB17" s="7"/>
      <c r="AC17" s="7">
        <f>-36031*3.5</f>
        <v>-126108.5</v>
      </c>
      <c r="AD17" s="7"/>
      <c r="AE17" s="7"/>
      <c r="AG17" s="7">
        <f t="shared" si="8"/>
        <v>-4757872</v>
      </c>
    </row>
    <row r="18" spans="1:33" s="12" customFormat="1" x14ac:dyDescent="0.25">
      <c r="A18" s="12" t="s">
        <v>56</v>
      </c>
      <c r="B18" s="13"/>
      <c r="C18" s="13"/>
      <c r="D18" s="13">
        <f>(-500000*0.3)*2.5</f>
        <v>-375000</v>
      </c>
      <c r="E18" s="14"/>
      <c r="F18" s="14"/>
      <c r="G18" s="14"/>
      <c r="H18" s="13">
        <f>(-535000*0.3)*2.5</f>
        <v>-401250</v>
      </c>
      <c r="I18" s="14"/>
      <c r="J18" s="13"/>
      <c r="K18" s="13"/>
      <c r="L18" s="13">
        <f>(-572450*0.3)*2.5</f>
        <v>-429337.5</v>
      </c>
      <c r="M18" s="14"/>
      <c r="N18" s="14"/>
      <c r="O18" s="14"/>
      <c r="P18" s="13">
        <f>(-612522*0.3)*2.5</f>
        <v>-459391.5</v>
      </c>
      <c r="Q18" s="13"/>
      <c r="R18" s="12" t="s">
        <v>55</v>
      </c>
      <c r="S18" s="14"/>
      <c r="T18" s="14"/>
      <c r="U18" s="13">
        <f>(-655398*0.3)*2.5</f>
        <v>-491548.5</v>
      </c>
      <c r="V18" s="14"/>
      <c r="W18" s="14"/>
      <c r="X18" s="14"/>
      <c r="Y18" s="13">
        <f>(-701276*0.3)*3</f>
        <v>-631148.39999999991</v>
      </c>
      <c r="Z18" s="14"/>
      <c r="AA18" s="14"/>
      <c r="AB18" s="14"/>
      <c r="AC18" s="14">
        <f>-187591*0.3*3</f>
        <v>-168831.9</v>
      </c>
      <c r="AD18" s="14"/>
      <c r="AE18" s="14"/>
      <c r="AG18" s="14">
        <f t="shared" si="8"/>
        <v>-2956507.8</v>
      </c>
    </row>
    <row r="19" spans="1:33" x14ac:dyDescent="0.25">
      <c r="A19" s="4" t="s">
        <v>41</v>
      </c>
      <c r="B19" s="6"/>
      <c r="C19" s="6" t="s">
        <v>42</v>
      </c>
      <c r="D19" s="6">
        <f>+(-151298*45)</f>
        <v>-6808410</v>
      </c>
      <c r="E19" s="7"/>
      <c r="F19" s="7"/>
      <c r="G19" s="7" t="s">
        <v>43</v>
      </c>
      <c r="H19" s="7">
        <f>-166428*60</f>
        <v>-9985680</v>
      </c>
      <c r="I19" s="7"/>
      <c r="J19" s="6"/>
      <c r="K19" s="6" t="s">
        <v>44</v>
      </c>
      <c r="L19" s="6">
        <f>-183071*60</f>
        <v>-10984260</v>
      </c>
      <c r="M19" s="7"/>
      <c r="N19" s="7"/>
      <c r="O19" s="7" t="s">
        <v>45</v>
      </c>
      <c r="P19" s="7">
        <f>-201378*60</f>
        <v>-12082680</v>
      </c>
      <c r="Q19" s="7"/>
      <c r="R19" s="4" t="s">
        <v>41</v>
      </c>
      <c r="S19" s="7" t="s">
        <v>46</v>
      </c>
      <c r="T19" s="7"/>
      <c r="U19" s="7">
        <f>-221515*60</f>
        <v>-13290900</v>
      </c>
      <c r="V19" s="7"/>
      <c r="W19" s="7"/>
      <c r="X19" s="7"/>
      <c r="Y19" s="7"/>
      <c r="Z19" s="7"/>
      <c r="AA19" s="7"/>
      <c r="AB19" s="7"/>
      <c r="AC19" s="7"/>
      <c r="AD19" s="7"/>
      <c r="AE19" s="7"/>
      <c r="AG19" s="7">
        <f t="shared" si="8"/>
        <v>-53151930</v>
      </c>
    </row>
    <row r="20" spans="1:33" x14ac:dyDescent="0.25">
      <c r="A20" s="12" t="s">
        <v>9</v>
      </c>
      <c r="B20" s="6">
        <f>+B12</f>
        <v>11150000</v>
      </c>
      <c r="C20" s="6"/>
      <c r="D20" s="6">
        <f>+D12+D14+D15+D16+D17+D19</f>
        <v>-16544263.5</v>
      </c>
      <c r="E20" s="7"/>
      <c r="F20" s="7">
        <f>+F12+F14</f>
        <v>11768500</v>
      </c>
      <c r="G20" s="7"/>
      <c r="H20" s="6">
        <f>+H12+H14+H15+H16+H17+H19</f>
        <v>-20340860.5</v>
      </c>
      <c r="I20" s="7"/>
      <c r="J20" s="7">
        <f>+J12+J14+J15</f>
        <v>12466045</v>
      </c>
      <c r="K20" s="7"/>
      <c r="L20" s="6">
        <f>+L12+L14+L15+L16+L17+L19</f>
        <v>-22480710.5</v>
      </c>
      <c r="M20" s="7"/>
      <c r="N20" s="7">
        <f>+N12+N14+N15</f>
        <v>12671099.65</v>
      </c>
      <c r="O20" s="7"/>
      <c r="P20" s="6">
        <f>+P12+P14+P15+P16+P17+P19</f>
        <v>-22512987.149999999</v>
      </c>
      <c r="Q20" s="6"/>
      <c r="R20" s="4" t="s">
        <v>9</v>
      </c>
      <c r="S20" s="7">
        <f>+S12+S14+S15</f>
        <v>12889282.205500001</v>
      </c>
      <c r="T20" s="7"/>
      <c r="U20" s="6">
        <f>+U12+U14+U15+U16+U17+U19</f>
        <v>-25335358.205499999</v>
      </c>
      <c r="V20" s="7"/>
      <c r="W20" s="7">
        <f>+W12+W14+W15</f>
        <v>13461850.667885</v>
      </c>
      <c r="X20" s="7"/>
      <c r="Y20" s="6">
        <f>+Y12+Y14+Y15+Y16+Y17+Y19</f>
        <v>-12008762.667885</v>
      </c>
      <c r="Z20" s="7"/>
      <c r="AA20" s="7">
        <f>+AA12+AA14+AA15</f>
        <v>2976871.8915392375</v>
      </c>
      <c r="AB20" s="7"/>
      <c r="AC20" s="6">
        <f>+AC12+AC14+AC15+AC16+AC17+AC19</f>
        <v>-2975491.3715392379</v>
      </c>
      <c r="AD20" s="7"/>
      <c r="AE20" s="7">
        <f>SUM(B20:AD20)</f>
        <v>-44814784.479999997</v>
      </c>
      <c r="AG20" s="7">
        <f>+AG12+AG14+AG15+AG16+AG17+AG19</f>
        <v>-122198433.89492422</v>
      </c>
    </row>
    <row r="21" spans="1:33" x14ac:dyDescent="0.25">
      <c r="B21" s="6"/>
      <c r="C21" s="6"/>
      <c r="D21" s="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3" x14ac:dyDescent="0.25">
      <c r="AD22" s="7"/>
      <c r="AE22" s="7" t="s">
        <v>48</v>
      </c>
      <c r="AG22" s="6">
        <v>-50000000</v>
      </c>
    </row>
    <row r="23" spans="1:33" x14ac:dyDescent="0.25">
      <c r="B23" s="4"/>
      <c r="C23" s="4"/>
      <c r="D23" s="4"/>
      <c r="X23" s="9"/>
      <c r="Y23" s="6" t="s">
        <v>6</v>
      </c>
      <c r="Z23" s="4" t="s">
        <v>6</v>
      </c>
      <c r="AD23" s="7"/>
      <c r="AE23" s="7" t="s">
        <v>49</v>
      </c>
    </row>
    <row r="24" spans="1:33" s="16" customFormat="1" x14ac:dyDescent="0.25">
      <c r="A24" s="16" t="s">
        <v>57</v>
      </c>
      <c r="D24" s="17" t="s">
        <v>6</v>
      </c>
      <c r="H24" s="17">
        <f>+D20*0.06</f>
        <v>-992655.80999999994</v>
      </c>
      <c r="L24" s="17">
        <f>+(H20+H24+D20)*0.06</f>
        <v>-2272666.7886000001</v>
      </c>
      <c r="P24" s="17">
        <f>+(D20+H20+L20+H24+L24)*0.06</f>
        <v>-3757869.4259159998</v>
      </c>
      <c r="Q24" s="17"/>
      <c r="U24" s="17">
        <f>+(+D20+H24+H20+L20+P20+L24+P24)*0.06</f>
        <v>-5334120.8204709599</v>
      </c>
      <c r="X24" s="18"/>
      <c r="Y24" s="17">
        <f>+(+D20+H24+H20+L24+L20+P20+U20+P24+U24)*0.06</f>
        <v>-7174289.5620292183</v>
      </c>
      <c r="Z24" s="16" t="s">
        <v>6</v>
      </c>
      <c r="AC24" s="17">
        <f>+((+D20+H24+H20+L24+L20+P24+P20+U20+Y20+U24+Y24)*0.06)/4</f>
        <v>-2081318.1739560175</v>
      </c>
      <c r="AF24" s="16" t="s">
        <v>50</v>
      </c>
      <c r="AG24" s="19">
        <f>+H24+L24+P24+U24+Y24+AC24</f>
        <v>-21612920.580972198</v>
      </c>
    </row>
    <row r="25" spans="1:33" x14ac:dyDescent="0.25">
      <c r="B25" s="4"/>
      <c r="C25" s="4"/>
      <c r="D25" s="4"/>
      <c r="H25" s="11"/>
      <c r="X25" s="10"/>
      <c r="Y25" s="10"/>
      <c r="AF25" s="4">
        <v>640</v>
      </c>
      <c r="AG25" s="6">
        <v>-17000000</v>
      </c>
    </row>
    <row r="26" spans="1:33" x14ac:dyDescent="0.25">
      <c r="B26" s="4"/>
      <c r="C26" s="4"/>
      <c r="D26" s="4"/>
      <c r="W26" s="4" t="s">
        <v>6</v>
      </c>
      <c r="AF26" s="4">
        <v>677</v>
      </c>
      <c r="AG26" s="6">
        <v>-8500000</v>
      </c>
    </row>
    <row r="27" spans="1:33" x14ac:dyDescent="0.25">
      <c r="A27" s="4" t="s">
        <v>10</v>
      </c>
      <c r="B27" s="5" t="s">
        <v>12</v>
      </c>
      <c r="D27" s="4" t="s">
        <v>17</v>
      </c>
      <c r="F27" s="6">
        <v>200</v>
      </c>
      <c r="V27" s="20" t="s">
        <v>54</v>
      </c>
      <c r="W27" s="20"/>
      <c r="AF27" s="4" t="s">
        <v>51</v>
      </c>
      <c r="AG27" s="6">
        <v>-6000000</v>
      </c>
    </row>
    <row r="28" spans="1:33" x14ac:dyDescent="0.25">
      <c r="B28" s="5" t="s">
        <v>16</v>
      </c>
      <c r="D28" s="4" t="s">
        <v>18</v>
      </c>
      <c r="F28" s="6">
        <v>65</v>
      </c>
      <c r="H28" s="11"/>
      <c r="J28" s="4" t="s">
        <v>6</v>
      </c>
      <c r="W28" s="9">
        <v>0.1</v>
      </c>
      <c r="AF28" s="4" t="s">
        <v>52</v>
      </c>
      <c r="AG28" s="6">
        <v>-30000000</v>
      </c>
    </row>
    <row r="29" spans="1:33" x14ac:dyDescent="0.25">
      <c r="D29" s="4" t="s">
        <v>19</v>
      </c>
      <c r="F29" s="6">
        <v>40</v>
      </c>
      <c r="V29" s="10">
        <v>2</v>
      </c>
      <c r="W29" s="10">
        <f>+V29*W28+V29</f>
        <v>2.2000000000000002</v>
      </c>
      <c r="AG29" s="7">
        <f>SUM(AG24:AG28)</f>
        <v>-83112920.580972195</v>
      </c>
    </row>
    <row r="30" spans="1:33" x14ac:dyDescent="0.25">
      <c r="A30" s="4" t="s">
        <v>13</v>
      </c>
      <c r="B30" s="5" t="s">
        <v>14</v>
      </c>
      <c r="D30" s="4"/>
      <c r="F30" s="6">
        <f>+F27+F28+F29</f>
        <v>305</v>
      </c>
      <c r="H30" s="11"/>
      <c r="V30" s="10">
        <v>3</v>
      </c>
      <c r="W30" s="10">
        <f>+W28*V30+V30</f>
        <v>3.3</v>
      </c>
    </row>
    <row r="31" spans="1:33" x14ac:dyDescent="0.25">
      <c r="B31" s="5" t="s">
        <v>15</v>
      </c>
      <c r="AE31" s="4" t="s">
        <v>53</v>
      </c>
      <c r="AG31" s="7">
        <f>+AG20+AG22+AG29</f>
        <v>-255311354.47589642</v>
      </c>
    </row>
    <row r="32" spans="1:33" x14ac:dyDescent="0.25">
      <c r="B32" s="4"/>
      <c r="C32" s="6"/>
      <c r="D32" s="6"/>
      <c r="H32" s="4" t="s">
        <v>6</v>
      </c>
    </row>
    <row r="33" spans="8:8" x14ac:dyDescent="0.25">
      <c r="H33" s="4" t="s">
        <v>6</v>
      </c>
    </row>
    <row r="34" spans="8:8" x14ac:dyDescent="0.25">
      <c r="H34" s="4" t="s">
        <v>6</v>
      </c>
    </row>
  </sheetData>
  <mergeCells count="2">
    <mergeCell ref="AA3:AC3"/>
    <mergeCell ref="V27:W27"/>
  </mergeCells>
  <pageMargins left="0.25" right="0.25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Galvani</dc:creator>
  <cp:lastModifiedBy>Elizabeth Galvani</cp:lastModifiedBy>
  <cp:lastPrinted>2025-06-11T16:41:05Z</cp:lastPrinted>
  <dcterms:created xsi:type="dcterms:W3CDTF">2025-03-25T14:38:07Z</dcterms:created>
  <dcterms:modified xsi:type="dcterms:W3CDTF">2026-03-03T20:06:07Z</dcterms:modified>
</cp:coreProperties>
</file>